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</cols>
  <sheetData>
    <row r="1" ht="34" customHeight="1"/>
    <row r="2" ht="28" customHeight="1">
      <c r="A2" s="1" t="inlineStr">
        <is>
          <t xml:space="preserve">Modello organizzativo 231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Modello 231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</row>
    <row r="6">
      <c r="A6" s="11">
        <f>IF(B6="","",ROW()-5)</f>
      </c>
      <c r="B6" s="6" t="inlineStr">
        <is>
          <t xml:space="preserve">Incarico firmato</t>
        </is>
      </c>
      <c r="C6" s="5" t="inlineStr">
        <is>
          <t xml:space="preserve">Analisi dei rischi reato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 con l'organo amministrativo</t>
        </is>
      </c>
      <c r="C7" s="5" t="inlineStr">
        <is>
          <t xml:space="preserve">Analisi dei rischi reato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Documenti della società</t>
        </is>
      </c>
      <c r="C8" s="5" t="inlineStr">
        <is>
          <t xml:space="preserve">Analisi dei rischi reato</t>
        </is>
      </c>
      <c r="D8" s="8">
        <f>WORKDAY($J$3,2)</f>
      </c>
      <c r="E8" s="7">
        <v>7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Mappatura delle attività sensibili</t>
        </is>
      </c>
      <c r="C9" s="5" t="inlineStr">
        <is>
          <t xml:space="preserve">Analisi dei rischi reato</t>
        </is>
      </c>
      <c r="D9" s="8">
        <f>WORKDAY($J$3,9)</f>
      </c>
      <c r="E9" s="7">
        <v>12</v>
      </c>
      <c r="F9" s="12">
        <f>IF(OR(D9="",E9=""),"",WORKDAY(D9,MAX(E9,1)-1))</f>
      </c>
      <c r="G9" s="7" t="inlineStr">
        <is>
          <t xml:space="preserve">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   Rapporti con la pubblica amministrazione: gare, autorizzazioni, ispezioni, contributi</t>
        </is>
      </c>
      <c r="C10" s="5" t="inlineStr">
        <is>
          <t xml:space="preserve">Analisi dei rischi reato</t>
        </is>
      </c>
      <c r="D10" s="8">
        <f>WORKDAY($J$3,9)</f>
      </c>
      <c r="E10" s="7">
        <v>4</v>
      </c>
      <c r="F10" s="12">
        <f>IF(OR(D10="",E10=""),"",WORKDAY(D10,MAX(E10,1)-1))</f>
      </c>
      <c r="G10" s="7"/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   Bilancio, comunicazioni sociali, rapporti con soci e sindaci</t>
        </is>
      </c>
      <c r="C11" s="5" t="inlineStr">
        <is>
          <t xml:space="preserve">Analisi dei rischi reato</t>
        </is>
      </c>
      <c r="D11" s="8">
        <f>WORKDAY($J$3,11)</f>
      </c>
      <c r="E11" s="7">
        <v>3</v>
      </c>
      <c r="F11" s="12">
        <f>IF(OR(D11="",E11=""),"",WORKDAY(D11,MAX(E11,1)-1))</f>
      </c>
      <c r="G11" s="7"/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   Salute e sicurezza sul lavoro</t>
        </is>
      </c>
      <c r="C12" s="5" t="inlineStr">
        <is>
          <t xml:space="preserve">Analisi dei rischi reato</t>
        </is>
      </c>
      <c r="D12" s="8">
        <f>WORKDAY($J$3,12)</f>
      </c>
      <c r="E12" s="7">
        <v>4</v>
      </c>
      <c r="F12" s="12">
        <f>IF(OR(D12="",E12=""),"",WORKDAY(D12,MAX(E12,1)-1))</f>
      </c>
      <c r="G12" s="7"/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   Rifiuti, scarichi ed emissioni</t>
        </is>
      </c>
      <c r="C13" s="5" t="inlineStr">
        <is>
          <t xml:space="preserve">Analisi dei rischi reato</t>
        </is>
      </c>
      <c r="D13" s="8">
        <f>WORKDAY($J$3,14)</f>
      </c>
      <c r="E13" s="7">
        <v>3</v>
      </c>
      <c r="F13" s="12">
        <f>IF(OR(D13="",E13=""),"",WORKDAY(D13,MAX(E13,1)-1))</f>
      </c>
      <c r="G13" s="7"/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   Fatturazione, dichiarazioni, operazioni con parti correlate</t>
        </is>
      </c>
      <c r="C14" s="5" t="inlineStr">
        <is>
          <t xml:space="preserve">Analisi dei rischi reato</t>
        </is>
      </c>
      <c r="D14" s="8">
        <f>WORKDAY($J$3,15)</f>
      </c>
      <c r="E14" s="7">
        <v>4</v>
      </c>
      <c r="F14" s="12">
        <f>IF(OR(D14="",E14=""),"",WORKDAY(D14,MAX(E14,1)-1))</f>
      </c>
      <c r="G14" s="7"/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   Sistemi informatici e diritto d'autore</t>
        </is>
      </c>
      <c r="C15" s="5" t="inlineStr">
        <is>
          <t xml:space="preserve">Analisi dei rischi reato</t>
        </is>
      </c>
      <c r="D15" s="8">
        <f>WORKDAY($J$3,17)</f>
      </c>
      <c r="E15" s="7">
        <v>2</v>
      </c>
      <c r="F15" s="12">
        <f>IF(OR(D15="",E15=""),"",WORKDAY(D15,MAX(E15,1)-1))</f>
      </c>
      <c r="G15" s="7"/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   Incassi, pagamenti e flussi finanziari</t>
        </is>
      </c>
      <c r="C16" s="5" t="inlineStr">
        <is>
          <t xml:space="preserve">Analisi dei rischi reato</t>
        </is>
      </c>
      <c r="D16" s="8">
        <f>WORKDAY($J$3,18)</f>
      </c>
      <c r="E16" s="7">
        <v>3</v>
      </c>
      <c r="F16" s="12">
        <f>IF(OR(D16="",E16=""),"",WORKDAY(D16,MAX(E16,1)-1))</f>
      </c>
      <c r="G16" s="7"/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   Appalti di manodopera, somministrazione e lavoratori stranieri</t>
        </is>
      </c>
      <c r="C17" s="5" t="inlineStr">
        <is>
          <t xml:space="preserve">Analisi dei rischi reato</t>
        </is>
      </c>
      <c r="D17" s="8">
        <f>WORKDAY($J$3,18)</f>
      </c>
      <c r="E17" s="7">
        <v>3</v>
      </c>
      <c r="F17" s="12">
        <f>IF(OR(D17="",E17=""),"",WORKDAY(D17,MAX(E17,1)-1))</f>
      </c>
      <c r="G17" s="7"/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Interviste ai responsabili delle attività sensibili</t>
        </is>
      </c>
      <c r="C18" s="5" t="inlineStr">
        <is>
          <t xml:space="preserve">Analisi dei rischi reato</t>
        </is>
      </c>
      <c r="D18" s="8">
        <f>WORKDAY($J$3,9)</f>
      </c>
      <c r="E18" s="7">
        <v>12</v>
      </c>
      <c r="F18" s="12">
        <f>IF(OR(D18="",E18=""),"",WORKDAY(D18,MAX(E18,1)-1))</f>
      </c>
      <c r="G18" s="7" t="inlineStr">
        <is>
          <t xml:space="preserve">3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Controlli esistenti e scostamenti</t>
        </is>
      </c>
      <c r="C19" s="5" t="inlineStr">
        <is>
          <t xml:space="preserve">Analisi dei rischi reato</t>
        </is>
      </c>
      <c r="D19" s="8">
        <f>WORKDAY($J$3,21)</f>
      </c>
      <c r="E19" s="7">
        <v>6</v>
      </c>
      <c r="F19" s="12">
        <f>IF(OR(D19="",E19=""),"",WORKDAY(D19,MAX(E19,1)-1))</f>
      </c>
      <c r="G19" s="7" t="inlineStr">
        <is>
          <t xml:space="preserve">4, 13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Valutazione del rischio di ogni attività sensibile</t>
        </is>
      </c>
      <c r="C20" s="5" t="inlineStr">
        <is>
          <t xml:space="preserve">Analisi dei rischi reato</t>
        </is>
      </c>
      <c r="D20" s="8">
        <f>WORKDAY($J$3,27)</f>
      </c>
      <c r="E20" s="7">
        <v>3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Relazione sull'analisi dei rischi alla direzione</t>
        </is>
      </c>
      <c r="C21" s="5" t="inlineStr">
        <is>
          <t xml:space="preserve">Analisi dei rischi reato</t>
        </is>
      </c>
      <c r="D21" s="8">
        <f>WORKDAY($J$3,30)</f>
      </c>
      <c r="E21" s="7">
        <v>2</v>
      </c>
      <c r="F21" s="12">
        <f>IF(OR(D21="",E21=""),"",WORKDAY(D21,MAX(E21,1)-1))</f>
      </c>
      <c r="G21" s="7" t="inlineStr">
        <is>
          <t xml:space="preserve">15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Analisi dei rischi condivisa</t>
        </is>
      </c>
      <c r="C22" s="5" t="inlineStr">
        <is>
          <t xml:space="preserve">Analisi dei rischi reato</t>
        </is>
      </c>
      <c r="D22" s="8">
        <f>WORKDAY($J$3,32)</f>
      </c>
      <c r="E22" s="7">
        <v>0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Sì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Parte generale del modello</t>
        </is>
      </c>
      <c r="C23" s="5" t="inlineStr">
        <is>
          <t xml:space="preserve">Protocolli e codice etico</t>
        </is>
      </c>
      <c r="D23" s="8">
        <f>WORKDAY($J$3,33)</f>
      </c>
      <c r="E23" s="7">
        <v>8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Codice etico</t>
        </is>
      </c>
      <c r="C24" s="5" t="inlineStr">
        <is>
          <t xml:space="preserve">Protocolli e codice etico</t>
        </is>
      </c>
      <c r="D24" s="8">
        <f>WORKDAY($J$3,33)</f>
      </c>
      <c r="E24" s="7">
        <v>5</v>
      </c>
      <c r="F24" s="12">
        <f>IF(OR(D24="",E24=""),"",WORKDAY(D24,MAX(E24,1)-1))</f>
      </c>
      <c r="G24" s="7" t="inlineStr">
        <is>
          <t xml:space="preserve">17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Sistema disciplinare</t>
        </is>
      </c>
      <c r="C25" s="5" t="inlineStr">
        <is>
          <t xml:space="preserve">Protocolli e codice etico</t>
        </is>
      </c>
      <c r="D25" s="8">
        <f>WORKDAY($J$3,41)</f>
      </c>
      <c r="E25" s="7">
        <v>3</v>
      </c>
      <c r="F25" s="12">
        <f>IF(OR(D25="",E25=""),"",WORKDAY(D25,MAX(E25,1)-1))</f>
      </c>
      <c r="G25" s="7" t="inlineStr">
        <is>
          <t xml:space="preserve">18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Parti speciali con i protocolli</t>
        </is>
      </c>
      <c r="C26" s="5" t="inlineStr">
        <is>
          <t xml:space="preserve">Protocolli e codice etico</t>
        </is>
      </c>
      <c r="D26" s="8">
        <f>WORKDAY($J$3,38)</f>
      </c>
      <c r="E26" s="7">
        <v>18</v>
      </c>
      <c r="F26" s="12">
        <f>IF(OR(D26="",E26=""),"",WORKDAY(D26,MAX(E26,1)-1))</f>
      </c>
      <c r="G26" s="7" t="inlineStr">
        <is>
          <t xml:space="preserve">19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   Rapporti con la pubblica amministrazione</t>
        </is>
      </c>
      <c r="C27" s="5" t="inlineStr">
        <is>
          <t xml:space="preserve">Protocolli e codice etico</t>
        </is>
      </c>
      <c r="D27" s="8">
        <f>WORKDAY($J$3,38)</f>
      </c>
      <c r="E27" s="7">
        <v>5</v>
      </c>
      <c r="F27" s="12">
        <f>IF(OR(D27="",E27=""),"",WORKDAY(D27,MAX(E27,1)-1))</f>
      </c>
      <c r="G27" s="7"/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   Reati societari</t>
        </is>
      </c>
      <c r="C28" s="5" t="inlineStr">
        <is>
          <t xml:space="preserve">Protocolli e codice etico</t>
        </is>
      </c>
      <c r="D28" s="8">
        <f>WORKDAY($J$3,41)</f>
      </c>
      <c r="E28" s="7">
        <v>4</v>
      </c>
      <c r="F28" s="12">
        <f>IF(OR(D28="",E28=""),"",WORKDAY(D28,MAX(E28,1)-1))</f>
      </c>
      <c r="G28" s="7"/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   Salute e sicurezza sul lavoro</t>
        </is>
      </c>
      <c r="C29" s="5" t="inlineStr">
        <is>
          <t xml:space="preserve">Protocolli e codice etico</t>
        </is>
      </c>
      <c r="D29" s="8">
        <f>WORKDAY($J$3,43)</f>
      </c>
      <c r="E29" s="7">
        <v>5</v>
      </c>
      <c r="F29" s="12">
        <f>IF(OR(D29="",E29=""),"",WORKDAY(D29,MAX(E29,1)-1))</f>
      </c>
      <c r="G29" s="7"/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   Reati ambientali</t>
        </is>
      </c>
      <c r="C30" s="5" t="inlineStr">
        <is>
          <t xml:space="preserve">Protocolli e codice etico</t>
        </is>
      </c>
      <c r="D30" s="8">
        <f>WORKDAY($J$3,46)</f>
      </c>
      <c r="E30" s="7">
        <v>4</v>
      </c>
      <c r="F30" s="12">
        <f>IF(OR(D30="",E30=""),"",WORKDAY(D30,MAX(E30,1)-1))</f>
      </c>
      <c r="G30" s="7"/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   Reati tributari</t>
        </is>
      </c>
      <c r="C31" s="5" t="inlineStr">
        <is>
          <t xml:space="preserve">Protocolli e codice etico</t>
        </is>
      </c>
      <c r="D31" s="8">
        <f>WORKDAY($J$3,48)</f>
      </c>
      <c r="E31" s="7">
        <v>5</v>
      </c>
      <c r="F31" s="12">
        <f>IF(OR(D31="",E31=""),"",WORKDAY(D31,MAX(E31,1)-1))</f>
      </c>
      <c r="G31" s="7"/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   Reati informatici e diritto d'autore</t>
        </is>
      </c>
      <c r="C32" s="5" t="inlineStr">
        <is>
          <t xml:space="preserve">Protocolli e codice etico</t>
        </is>
      </c>
      <c r="D32" s="8">
        <f>WORKDAY($J$3,51)</f>
      </c>
      <c r="E32" s="7">
        <v>3</v>
      </c>
      <c r="F32" s="12">
        <f>IF(OR(D32="",E32=""),"",WORKDAY(D32,MAX(E32,1)-1))</f>
      </c>
      <c r="G32" s="7"/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   Ricettazione, riciclaggio e autoriciclaggio</t>
        </is>
      </c>
      <c r="C33" s="5" t="inlineStr">
        <is>
          <t xml:space="preserve">Protocolli e codice etico</t>
        </is>
      </c>
      <c r="D33" s="8">
        <f>WORKDAY($J$3,52)</f>
      </c>
      <c r="E33" s="7">
        <v>4</v>
      </c>
      <c r="F33" s="12">
        <f>IF(OR(D33="",E33=""),"",WORKDAY(D33,MAX(E33,1)-1))</f>
      </c>
      <c r="G33" s="7"/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   Sfruttamento del lavoro e impiego di stranieri irregolari</t>
        </is>
      </c>
      <c r="C34" s="5" t="inlineStr">
        <is>
          <t xml:space="preserve">Protocolli e codice etico</t>
        </is>
      </c>
      <c r="D34" s="8">
        <f>WORKDAY($J$3,53)</f>
      </c>
      <c r="E34" s="7">
        <v>3</v>
      </c>
      <c r="F34" s="12">
        <f>IF(OR(D34="",E34=""),"",WORKDAY(D34,MAX(E34,1)-1))</f>
      </c>
      <c r="G34" s="7"/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Flussi informativi verso l'organismo di vigilanza</t>
        </is>
      </c>
      <c r="C35" s="5" t="inlineStr">
        <is>
          <t xml:space="preserve">Protocolli e codice etico</t>
        </is>
      </c>
      <c r="D35" s="8">
        <f>WORKDAY($J$3,56)</f>
      </c>
      <c r="E35" s="7">
        <v>3</v>
      </c>
      <c r="F35" s="12">
        <f>IF(OR(D35="",E35=""),"",WORKDAY(D35,MAX(E35,1)-1))</f>
      </c>
      <c r="G35" s="7" t="inlineStr">
        <is>
          <t xml:space="preserve">21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Canale di segnalazione interna e sua procedura</t>
        </is>
      </c>
      <c r="C36" s="5" t="inlineStr">
        <is>
          <t xml:space="preserve">Protocolli e codice etico</t>
        </is>
      </c>
      <c r="D36" s="8">
        <f>WORKDAY($J$3,56)</f>
      </c>
      <c r="E36" s="7">
        <v>5</v>
      </c>
      <c r="F36" s="12">
        <f>IF(OR(D36="",E36=""),"",WORKDAY(D36,MAX(E36,1)-1))</f>
      </c>
      <c r="G36" s="7" t="inlineStr">
        <is>
          <t xml:space="preserve">21, 20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Le funzioni e la direzione rileggono il modello</t>
        </is>
      </c>
      <c r="C37" s="5" t="inlineStr">
        <is>
          <t xml:space="preserve">Protocolli e codice etico</t>
        </is>
      </c>
      <c r="D37" s="8">
        <f>WORKDAY($J$3,61)</f>
      </c>
      <c r="E37" s="7">
        <v>10</v>
      </c>
      <c r="F37" s="12">
        <f>IF(OR(D37="",E37=""),"",WORKDAY(D37,MAX(E37,1)-1))</f>
      </c>
      <c r="G37" s="7" t="inlineStr">
        <is>
          <t xml:space="preserve">30, 31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Modello pronto per l'adozione</t>
        </is>
      </c>
      <c r="C38" s="5" t="inlineStr">
        <is>
          <t xml:space="preserve">Protocolli e codice etico</t>
        </is>
      </c>
      <c r="D38" s="8">
        <f>WORKDAY($J$3,70)</f>
      </c>
      <c r="E38" s="7">
        <v>0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Sì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Proposta di delibera e presentazione all'organo amministrativo</t>
        </is>
      </c>
      <c r="C39" s="5" t="inlineStr">
        <is>
          <t xml:space="preserve">Adozione e organismo di vigilanza</t>
        </is>
      </c>
      <c r="D39" s="8">
        <f>WORKDAY($J$3,71)</f>
      </c>
      <c r="E39" s="7">
        <v>2</v>
      </c>
      <c r="F39" s="12">
        <f>IF(OR(D39="",E39=""),"",WORKDAY(D39,MAX(E39,1)-1))</f>
      </c>
      <c r="G39" s="7" t="inlineStr">
        <is>
          <t xml:space="preserve">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Composizione dell'organismo di vigilanza</t>
        </is>
      </c>
      <c r="C40" s="5" t="inlineStr">
        <is>
          <t xml:space="preserve">Adozione e organismo di vigilanza</t>
        </is>
      </c>
      <c r="D40" s="8">
        <f>WORKDAY($J$3,71)</f>
      </c>
      <c r="E40" s="7">
        <v>2</v>
      </c>
      <c r="F40" s="12">
        <f>IF(OR(D40="",E40=""),"",WORKDAY(D40,MAX(E40,1)-1))</f>
      </c>
      <c r="G40" s="7" t="inlineStr">
        <is>
          <t xml:space="preserve">33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Riunione dell'organo amministrativo</t>
        </is>
      </c>
      <c r="C41" s="5" t="inlineStr">
        <is>
          <t xml:space="preserve">Adozione e organismo di vigilanza</t>
        </is>
      </c>
      <c r="D41" s="8">
        <f>WORKDAY($J$3,73)</f>
      </c>
      <c r="E41" s="7">
        <v>3</v>
      </c>
      <c r="F41" s="12">
        <f>IF(OR(D41="",E41=""),"",WORKDAY(D41,MAX(E41,1)-1))</f>
      </c>
      <c r="G41" s="7" t="inlineStr">
        <is>
          <t xml:space="preserve">34, 35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Modello adottato e organismo nominato, con il suo budget</t>
        </is>
      </c>
      <c r="C42" s="5" t="inlineStr">
        <is>
          <t xml:space="preserve">Adozione e organismo di vigilanza</t>
        </is>
      </c>
      <c r="D42" s="8">
        <f>WORKDAY($J$3,75)</f>
      </c>
      <c r="E42" s="7">
        <v>0</v>
      </c>
      <c r="F42" s="12">
        <f>IF(OR(D42="",E42=""),"",WORKDAY(D42,MAX(E42,1)-1))</f>
      </c>
      <c r="G42" s="7" t="inlineStr">
        <is>
          <t xml:space="preserve">36</t>
        </is>
      </c>
      <c r="H42" s="7" t="inlineStr">
        <is>
          <t xml:space="preserve">Sì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Regolamento e piano delle verifiche dell'organismo</t>
        </is>
      </c>
      <c r="C43" s="5" t="inlineStr">
        <is>
          <t xml:space="preserve">Adozione e organismo di vigilanza</t>
        </is>
      </c>
      <c r="D43" s="8">
        <f>WORKDAY($J$3,76)</f>
      </c>
      <c r="E43" s="7">
        <v>5</v>
      </c>
      <c r="F43" s="12">
        <f>IF(OR(D43="",E43=""),"",WORKDAY(D43,MAX(E43,1)-1))</f>
      </c>
      <c r="G43" s="7" t="inlineStr">
        <is>
          <t xml:space="preserve">37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Prima riunione dell'organismo di vigilanza</t>
        </is>
      </c>
      <c r="C44" s="5" t="inlineStr">
        <is>
          <t xml:space="preserve">Adozione e organismo di vigilanza</t>
        </is>
      </c>
      <c r="D44" s="8">
        <f>WORKDAY($J$3,81)</f>
      </c>
      <c r="E44" s="7">
        <v>1</v>
      </c>
      <c r="F44" s="12">
        <f>IF(OR(D44="",E44=""),"",WORKDAY(D44,MAX(E44,1)-1))</f>
      </c>
      <c r="G44" s="7" t="inlineStr">
        <is>
          <t xml:space="preserve">38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Comunicazione del modello a dipendenti, collaboratori e fornitori</t>
        </is>
      </c>
      <c r="C45" s="5" t="inlineStr">
        <is>
          <t xml:space="preserve">Formazione e diffusione</t>
        </is>
      </c>
      <c r="D45" s="8">
        <f>WORKDAY($J$3,76)</f>
      </c>
      <c r="E45" s="7">
        <v>3</v>
      </c>
      <c r="F45" s="12">
        <f>IF(OR(D45="",E45=""),"",WORKDAY(D45,MAX(E45,1)-1))</f>
      </c>
      <c r="G45" s="7" t="inlineStr">
        <is>
          <t xml:space="preserve">37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Clausole 231 nei contratti con fornitori e collaboratori</t>
        </is>
      </c>
      <c r="C46" s="5" t="inlineStr">
        <is>
          <t xml:space="preserve">Formazione e diffusione</t>
        </is>
      </c>
      <c r="D46" s="8">
        <f>WORKDAY($J$3,76)</f>
      </c>
      <c r="E46" s="7">
        <v>5</v>
      </c>
      <c r="F46" s="12">
        <f>IF(OR(D46="",E46=""),"",WORKDAY(D46,MAX(E46,1)-1))</f>
      </c>
      <c r="G46" s="7" t="inlineStr">
        <is>
          <t xml:space="preserve">37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Parte generale e codice etico sul sito della società</t>
        </is>
      </c>
      <c r="C47" s="5" t="inlineStr">
        <is>
          <t xml:space="preserve">Formazione e diffusione</t>
        </is>
      </c>
      <c r="D47" s="8">
        <f>WORKDAY($J$3,79)</f>
      </c>
      <c r="E47" s="7">
        <v>2</v>
      </c>
      <c r="F47" s="12">
        <f>IF(OR(D47="",E47=""),"",WORKDAY(D47,MAX(E47,1)-1))</f>
      </c>
      <c r="G47" s="7" t="inlineStr">
        <is>
          <t xml:space="preserve">40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Formazione dei vertici e dei responsabili</t>
        </is>
      </c>
      <c r="C48" s="5" t="inlineStr">
        <is>
          <t xml:space="preserve">Formazione e diffusione</t>
        </is>
      </c>
      <c r="D48" s="8">
        <f>WORKDAY($J$3,82)</f>
      </c>
      <c r="E48" s="7">
        <v>5</v>
      </c>
      <c r="F48" s="12">
        <f>IF(OR(D48="",E48=""),"",WORKDAY(D48,MAX(E48,1)-1))</f>
      </c>
      <c r="G48" s="7" t="inlineStr">
        <is>
          <t xml:space="preserve">39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Formazione del personale, con il test finale</t>
        </is>
      </c>
      <c r="C49" s="5" t="inlineStr">
        <is>
          <t xml:space="preserve">Formazione e diffusione</t>
        </is>
      </c>
      <c r="D49" s="8">
        <f>WORKDAY($J$3,87)</f>
      </c>
      <c r="E49" s="7">
        <v>10</v>
      </c>
      <c r="F49" s="12">
        <f>IF(OR(D49="",E49=""),"",WORKDAY(D49,MAX(E49,1)-1))</f>
      </c>
      <c r="G49" s="7" t="inlineStr">
        <is>
          <t xml:space="preserve">43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Supporto alla prima verifica dell'organismo sui protocolli</t>
        </is>
      </c>
      <c r="C50" s="5" t="inlineStr">
        <is>
          <t xml:space="preserve">Formazione e diffusione</t>
        </is>
      </c>
      <c r="D50" s="8">
        <f>WORKDAY($J$3,97)</f>
      </c>
      <c r="E50" s="7">
        <v>10</v>
      </c>
      <c r="F50" s="12">
        <f>IF(OR(D50="",E50=""),"",WORKDAY(D50,MAX(E50,1)-1))</f>
      </c>
      <c r="G50" s="7" t="inlineStr">
        <is>
          <t xml:space="preserve">44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Modello attuato</t>
        </is>
      </c>
      <c r="C51" s="5" t="inlineStr">
        <is>
          <t xml:space="preserve">Formazione e diffusione</t>
        </is>
      </c>
      <c r="D51" s="8">
        <f>WORKDAY($J$3,107)</f>
      </c>
      <c r="E51" s="7">
        <v>0</v>
      </c>
      <c r="F51" s="12">
        <f>IF(OR(D51="",E51=""),"",WORKDAY(D51,MAX(E51,1)-1))</f>
      </c>
      <c r="G51" s="7" t="inlineStr">
        <is>
          <t xml:space="preserve">45, 41, 42</t>
        </is>
      </c>
      <c r="H51" s="7" t="inlineStr">
        <is>
          <t xml:space="preserve">Sì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24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</mergeCells>
  <conditionalFormatting sqref="L6:FP105">
    <cfRule type="expression" dxfId="6" priority="1" stopIfTrue="1">
      <formula>AND($H6="Sì",L$5=$F6)</formula>
    </cfRule>
  </conditionalFormatting>
  <conditionalFormatting sqref="L6:FP105">
    <cfRule type="expression" dxfId="7" priority="2" stopIfTrue="1">
      <formula>AND(AND($F6&lt;&gt;"",L$5&gt;=$D6,L$5&lt;=$F6),$F6&lt;TODAY(),N($I6)&lt;1)</formula>
    </cfRule>
  </conditionalFormatting>
  <conditionalFormatting sqref="L6:FP105">
    <cfRule type="expression" dxfId="8" priority="3" stopIfTrue="1">
      <formula>AND(AND($F6&lt;&gt;"",L$5&gt;=$D6,L$5&lt;=$F6),L$5&lt;$D6+($F6-$D6+1)*N($I6))</formula>
    </cfRule>
  </conditionalFormatting>
  <conditionalFormatting sqref="L6:FP105">
    <cfRule type="expression" dxfId="9" priority="4" stopIfTrue="1">
      <formula>AND($F6&lt;&gt;"",L$5&gt;=$D6,L$5&lt;=$F6)</formula>
    </cfRule>
  </conditionalFormatting>
  <conditionalFormatting sqref="L6:FP105">
    <cfRule type="expression" dxfId="10" priority="5" stopIfTrue="1">
      <formula>L$5=TODAY()</formula>
    </cfRule>
  </conditionalFormatting>
  <conditionalFormatting sqref="L6:FP105">
    <cfRule type="expression" dxfId="12" priority="6" stopIfTrue="1">
      <formula>WEEKDAY(L$5,2)&gt;5</formula>
    </cfRule>
  </conditionalFormatting>
  <conditionalFormatting sqref="L5:FP5">
    <cfRule type="expression" dxfId="11" priority="7" stopIfTrue="1">
      <formula>L5=TODAY()</formula>
    </cfRule>
  </conditionalFormatting>
  <conditionalFormatting sqref="L5:FP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Modello 231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45" customHeight="1">
      <c r="A6" s="13">
        <f>IF(B6="","","R-"&amp;(ROW()-5))</f>
      </c>
      <c r="B6" s="6" t="inlineStr">
        <is>
          <t xml:space="preserve">Deleghe e procure che non corrispondono all'organizzazione reale</t>
        </is>
      </c>
      <c r="C6" s="6" t="inlineStr">
        <is>
          <t xml:space="preserve">Chi firma non è chi ha il potere sulla carta: i protocolli poggiano su poteri che nessuno esercita.</t>
        </is>
      </c>
      <c r="D6" s="5" t="inlineStr">
        <is>
          <t xml:space="preserve">Governance</t>
        </is>
      </c>
      <c r="E6" s="5"/>
      <c r="F6" s="7">
        <v>3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Confronto fra procure e interviste nell'analisi dei controlli; proposta di riallineamento dei poteri insieme al modello.</t>
        </is>
      </c>
      <c r="L6" s="6" t="inlineStr">
        <is>
          <t xml:space="preserve">Documenti della società; Controlli esistenti e scostamenti</t>
        </is>
      </c>
      <c r="M6" s="5" t="inlineStr">
        <is>
          <t xml:space="preserve">Identificato</t>
        </is>
      </c>
      <c r="N6" s="8">
        <f>WORKDAY(Piano!$J$3,26)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Protocolli che nessuno applica</t>
        </is>
      </c>
      <c r="C7" s="6" t="inlineStr">
        <is>
          <t xml:space="preserve">Controlli scritti senza chi lavora, troppo pesanti per le dimensioni della società: il modello esiste ma non è attuato, e in giudizio non protegge.</t>
        </is>
      </c>
      <c r="D7" s="5" t="inlineStr">
        <is>
          <t xml:space="preserve">Attuazione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Protocolli scritti sui controlli già esistenti dove bastano; revisione con le funzioni prima dell'adozione; prima verifica dell'organismo sui protocolli più nuovi.</t>
        </is>
      </c>
      <c r="L7" s="6" t="inlineStr">
        <is>
          <t xml:space="preserve">Parti speciali con i protocolli; Le funzioni e la direzione rileggono il modello</t>
        </is>
      </c>
      <c r="M7" s="5" t="inlineStr">
        <is>
          <t xml:space="preserve">Identificato</t>
        </is>
      </c>
      <c r="N7" s="8">
        <f>WORKDAY(Piano!$J$3,60)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Organismo di vigilanza senza autonomia</t>
        </is>
      </c>
      <c r="C8" s="6" t="inlineStr">
        <is>
          <t xml:space="preserve">Componenti con ruoli operativi o senza budget: l'organismo non può vigilare davvero.</t>
        </is>
      </c>
      <c r="D8" s="5" t="inlineStr">
        <is>
          <t xml:space="preserve">Organismo di vigilanza</t>
        </is>
      </c>
      <c r="E8" s="5"/>
      <c r="F8" s="7">
        <v>2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Requisiti dei componenti scritti nella proposta di delibera; budget e accesso alle informazioni stabiliti nella nomina.</t>
        </is>
      </c>
      <c r="L8" s="6" t="inlineStr">
        <is>
          <t xml:space="preserve">Composizione dell'organismo di vigilanza; Modello adottato e organismo nominato, con il suo budget</t>
        </is>
      </c>
      <c r="M8" s="5" t="inlineStr">
        <is>
          <t xml:space="preserve">Identificato</t>
        </is>
      </c>
      <c r="N8" s="8">
        <f>WORKDAY(Piano!$J$3,72)</f>
      </c>
      <c r="O8" s="11">
        <f>IF(AND(B8&lt;&gt;"",ISNUMBER(N8),M8&lt;&gt;"Chiuso",M8&lt;&gt;"Occorso",N8&lt;TODAY()),"Scaduta","")</f>
      </c>
    </row>
    <row r="9" ht="45" customHeight="1">
      <c r="A9" s="13">
        <f>IF(B9="","","R-"&amp;(ROW()-5))</f>
      </c>
      <c r="B9" s="6" t="inlineStr">
        <is>
          <t xml:space="preserve">Un reato prima dell'adozione</t>
        </is>
      </c>
      <c r="C9" s="6" t="inlineStr">
        <is>
          <t xml:space="preserve">Durante la costruzione del modello la società non è protetta: le aree a rischio alto restano scoperte per mesi.</t>
        </is>
      </c>
      <c r="D9" s="5" t="inlineStr">
        <is>
          <t xml:space="preserve">Esposizione</t>
        </is>
      </c>
      <c r="E9" s="5"/>
      <c r="F9" s="7">
        <v>2</v>
      </c>
      <c r="G9" s="7">
        <v>5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Le parti speciali delle aree a rischio alto per prime; istruzioni provvisorie alle funzioni coinvolte dopo l'analisi dei rischi.</t>
        </is>
      </c>
      <c r="L9" s="6" t="inlineStr">
        <is>
          <t xml:space="preserve">Valutazione del rischio di ogni attività sensibile; Parti speciali con i protocolli</t>
        </is>
      </c>
      <c r="M9" s="5" t="inlineStr">
        <is>
          <t xml:space="preserve">Identificato</t>
        </is>
      </c>
      <c r="N9" s="8">
        <f>WORKDAY(Piano!$J$3,32)</f>
      </c>
      <c r="O9" s="11">
        <f>IF(AND(B9&lt;&gt;"",ISNUMBER(N9),M9&lt;&gt;"Chiuso",M9&lt;&gt;"Occorso",N9&lt;TODAY()),"Scaduta","")</f>
      </c>
    </row>
    <row r="10" ht="30" customHeight="1">
      <c r="A10" s="13">
        <f>IF(B10="","","R-"&amp;(ROW()-5))</f>
      </c>
      <c r="B10" s="6" t="inlineStr">
        <is>
          <t xml:space="preserve">Formazione non documentata</t>
        </is>
      </c>
      <c r="C10" s="6" t="inlineStr">
        <is>
          <t xml:space="preserve">Senza presenze e test registrati la società non prova di aver diffuso il modello.</t>
        </is>
      </c>
      <c r="D10" s="5" t="inlineStr">
        <is>
          <t xml:space="preserve">Attuazione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Registro delle presenze e test per ogni sessione, archiviati e trasmessi all'organismo.</t>
        </is>
      </c>
      <c r="L10" s="6" t="inlineStr">
        <is>
          <t xml:space="preserve">Formazione del personale, con il test finale</t>
        </is>
      </c>
      <c r="M10" s="5" t="inlineStr">
        <is>
          <t xml:space="preserve">Identificato</t>
        </is>
      </c>
      <c r="N10" s="8">
        <f>WORKDAY(Piano!$J$3,90)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Il modello invecchia</t>
        </is>
      </c>
      <c r="C11" s="6" t="inlineStr">
        <is>
          <t xml:space="preserve">Nuovi reati presupposto o cambi dell'organizzazione lasciano il modello indietro.</t>
        </is>
      </c>
      <c r="D11" s="5" t="inlineStr">
        <is>
          <t xml:space="preserve">Aggiornamento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L'organismo segnala ogni novità normativa e organizzativa; aggiornamento del modello deliberato almeno ogni volta che servono parti nuove.</t>
        </is>
      </c>
      <c r="L11" s="6" t="inlineStr">
        <is>
          <t xml:space="preserve">Regolamento e piano delle verifiche dell'organismo</t>
        </is>
      </c>
      <c r="M11" s="5" t="inlineStr">
        <is>
          <t xml:space="preserve">Identificato</t>
        </is>
      </c>
      <c r="N11" s="8">
        <f>WORKDAY(Piano!$J$3,100)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Modello organizzativo 231: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Il modello del D.Lgs. 231/2001 dall'analisi dei rischi reato all'organismo di vigilanza: protocolli, codice etico, segnalazioni, adozione, formazione.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HYPERLINK("https://keenhour.com/modelli/modello-231","Il modello «Modello organizzativo 231» nella galleria")</f>
      </c>
    </row>
    <row r="20">
      <c r="B20" s="29">
        <f>HYPERLINK("https://keenhour.com/modelli/modello-231/usa","Usa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Modello organizzativo 231</dc:title>
  <dc:creator>KeenHour</dc:creator>
  <dc:language>it-IT</dc:language>
</cp:coreProperties>
</file>